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5200" windowHeight="13710"/>
  </bookViews>
  <sheets>
    <sheet name="zkušební výpočet" sheetId="4" r:id="rId1"/>
    <sheet name="analýza za ČR" sheetId="1" r:id="rId2"/>
  </sheets>
  <calcPr calcId="145621"/>
</workbook>
</file>

<file path=xl/calcChain.xml><?xml version="1.0" encoding="utf-8"?>
<calcChain xmlns="http://schemas.openxmlformats.org/spreadsheetml/2006/main">
  <c r="J5" i="1" l="1"/>
  <c r="C9" i="1" l="1"/>
  <c r="C10" i="1"/>
  <c r="C7" i="1"/>
  <c r="C8" i="1"/>
  <c r="C14" i="1" l="1"/>
  <c r="J6" i="4"/>
  <c r="F2" i="4" s="1"/>
  <c r="J8" i="4" l="1"/>
  <c r="E10" i="4" l="1"/>
  <c r="F10" i="4" s="1"/>
  <c r="E9" i="4"/>
  <c r="F9" i="4" s="1"/>
  <c r="E8" i="4"/>
  <c r="F8" i="4" s="1"/>
  <c r="E7" i="4"/>
  <c r="F7" i="4" s="1"/>
  <c r="H6" i="4"/>
  <c r="H7" i="4" l="1"/>
  <c r="H8" i="4" s="1"/>
  <c r="H9" i="4" s="1"/>
  <c r="H10" i="4" s="1"/>
  <c r="H11" i="4" s="1"/>
  <c r="C34" i="1" l="1"/>
  <c r="C35" i="1"/>
  <c r="C41" i="1"/>
  <c r="C42" i="1" s="1"/>
  <c r="H2" i="4" l="1"/>
  <c r="D22" i="4"/>
  <c r="D20" i="4"/>
  <c r="D18" i="4"/>
  <c r="D20" i="1"/>
  <c r="D18" i="1"/>
  <c r="D22" i="1"/>
  <c r="H43" i="1" l="1"/>
  <c r="H42" i="1"/>
  <c r="H41" i="1"/>
  <c r="H40" i="1"/>
  <c r="H39" i="1"/>
  <c r="H38" i="1"/>
  <c r="H37" i="1"/>
  <c r="H36" i="1"/>
  <c r="H35" i="1"/>
  <c r="H34" i="1"/>
  <c r="H32" i="1"/>
  <c r="H31" i="1"/>
  <c r="H43" i="4"/>
  <c r="H38" i="4"/>
  <c r="H35" i="4"/>
  <c r="H36" i="4"/>
  <c r="H34" i="4"/>
  <c r="C5" i="1"/>
  <c r="F43" i="4"/>
  <c r="H42" i="4"/>
  <c r="H41" i="4"/>
  <c r="H40" i="4"/>
  <c r="H39" i="4"/>
  <c r="F39" i="4"/>
  <c r="F38" i="4"/>
  <c r="H37" i="4"/>
  <c r="F36" i="4"/>
  <c r="F35" i="4"/>
  <c r="F34" i="4"/>
  <c r="F33" i="4"/>
  <c r="C44" i="4"/>
  <c r="H32" i="4"/>
  <c r="H31" i="4"/>
  <c r="F31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C28" i="4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C33" i="1"/>
  <c r="J7" i="1" l="1"/>
  <c r="H33" i="1"/>
  <c r="C6" i="1"/>
  <c r="E6" i="1" s="1"/>
  <c r="C6" i="4"/>
  <c r="E6" i="4" s="1"/>
  <c r="H28" i="4"/>
  <c r="H33" i="4"/>
  <c r="E10" i="1"/>
  <c r="J6" i="1" l="1"/>
  <c r="F2" i="1" s="1"/>
  <c r="H2" i="1" s="1"/>
  <c r="F10" i="1"/>
  <c r="H44" i="4"/>
  <c r="H46" i="4" s="1"/>
  <c r="H6" i="1" l="1"/>
  <c r="J8" i="1"/>
  <c r="H47" i="4"/>
  <c r="H48" i="4" s="1"/>
  <c r="F43" i="1" l="1"/>
  <c r="F34" i="1"/>
  <c r="F35" i="1"/>
  <c r="F36" i="1"/>
  <c r="F38" i="1"/>
  <c r="F39" i="1"/>
  <c r="F33" i="1"/>
  <c r="F31" i="1"/>
  <c r="C44" i="1" l="1"/>
  <c r="C28" i="1"/>
  <c r="H14" i="1" l="1"/>
  <c r="E8" i="1"/>
  <c r="E9" i="1"/>
  <c r="E7" i="1"/>
  <c r="F7" i="1" l="1"/>
  <c r="H7" i="1" s="1"/>
  <c r="F8" i="1"/>
  <c r="F9" i="1"/>
  <c r="H28" i="1"/>
  <c r="H8" i="1" l="1"/>
  <c r="H9" i="1" s="1"/>
  <c r="H10" i="1" s="1"/>
  <c r="H11" i="1" l="1"/>
  <c r="H44" i="1" l="1"/>
  <c r="H46" i="1" s="1"/>
  <c r="H47" i="1" l="1"/>
  <c r="H48" i="1" s="1"/>
</calcChain>
</file>

<file path=xl/sharedStrings.xml><?xml version="1.0" encoding="utf-8"?>
<sst xmlns="http://schemas.openxmlformats.org/spreadsheetml/2006/main" count="149" uniqueCount="81">
  <si>
    <t>Podíl plodin (%)</t>
  </si>
  <si>
    <t>...a obsahu sušiny (%)</t>
  </si>
  <si>
    <t>Jiný obsah sušiny (%)</t>
  </si>
  <si>
    <t xml:space="preserve">   kukuřice, brambory, cukrovka, krmná řepa </t>
  </si>
  <si>
    <t>Hnůj, separát kejdy, separát digestátu, tuhý digestát</t>
  </si>
  <si>
    <t>Kompost</t>
  </si>
  <si>
    <t>Drůbeží trus sušený</t>
  </si>
  <si>
    <t>Drůbeží trus s podestýlkou</t>
  </si>
  <si>
    <t>Drůbeží trus uleželý</t>
  </si>
  <si>
    <t>Kejda skotu</t>
  </si>
  <si>
    <t>Fugát kejdy skotu</t>
  </si>
  <si>
    <t>Kejda prasat</t>
  </si>
  <si>
    <t>Fugát kejdy prasat</t>
  </si>
  <si>
    <t>Digestát</t>
  </si>
  <si>
    <t>Fugát digestátu</t>
  </si>
  <si>
    <t>Výpalky melasové zahuštěné</t>
  </si>
  <si>
    <t>Výpalky lihovarnické</t>
  </si>
  <si>
    <t>Upravený kal (ve 100% sušině)</t>
  </si>
  <si>
    <t>Podsevy jetelovin či trav</t>
  </si>
  <si>
    <t>Stip-till</t>
  </si>
  <si>
    <t xml:space="preserve">   jetel, vojtěška (v užitkovém roce), vč. semenářských porostů</t>
  </si>
  <si>
    <t>Zapravení posledního obrostu víceletých pícnin</t>
  </si>
  <si>
    <t>Celkem</t>
  </si>
  <si>
    <t>Koeficient (na 1 ha)</t>
  </si>
  <si>
    <t>Přepočtená plocha (tis. ha)</t>
  </si>
  <si>
    <t>Řepný chrást, příp. nesklizená zelenina</t>
  </si>
  <si>
    <t xml:space="preserve">Doprovodné plodiny zaseté současně s hlavní plodinou </t>
  </si>
  <si>
    <t>Přímé setí do nezpracované půdy, mulče, ochranné plodiny či meziplodiny</t>
  </si>
  <si>
    <r>
      <t xml:space="preserve">Sláma </t>
    </r>
    <r>
      <rPr>
        <sz val="10"/>
        <color theme="1"/>
        <rFont val="Calibri"/>
        <family val="2"/>
        <charset val="238"/>
        <scheme val="minor"/>
      </rPr>
      <t>(vč. zbytků po sklizni jetelovin a trav na semeno, zeleného hrášku, lusků apod.)</t>
    </r>
  </si>
  <si>
    <t xml:space="preserve">Výsledná potřeba </t>
  </si>
  <si>
    <t>Přepočtená plocha, celkem</t>
  </si>
  <si>
    <t>Celková spotřeba 
(tis. t)</t>
  </si>
  <si>
    <t>...při dávce 
(t/ha)</t>
  </si>
  <si>
    <t>Plocha 
(tis. ha)</t>
  </si>
  <si>
    <t>Korekce potřeby, 
podle plodin (%)</t>
  </si>
  <si>
    <t>...při dávce 
(t č.hm./ha)</t>
  </si>
  <si>
    <t xml:space="preserve">
(t suš./ha)</t>
  </si>
  <si>
    <t xml:space="preserve">    navýšení koef.: kombinace sláma hustě setých obilnin + kejda, digestát</t>
  </si>
  <si>
    <t>2020</t>
  </si>
  <si>
    <t>Plocha 
(ha)</t>
  </si>
  <si>
    <t>Celková spotřeba 
(t)</t>
  </si>
  <si>
    <t>Přepočtená plocha (ha)</t>
  </si>
  <si>
    <t xml:space="preserve">Dodání organické hmoty do půdy, snížení mineralizace půdní organické hmoty </t>
  </si>
  <si>
    <t>Dodání organické hmoty do půdy</t>
  </si>
  <si>
    <t>Dodání organické hmoty do půdy, snížení mineralizace půdní organické hmoty</t>
  </si>
  <si>
    <t xml:space="preserve">Dodání organické hmoty do půdy </t>
  </si>
  <si>
    <t>Potřeba 
(%, ha)</t>
  </si>
  <si>
    <t>Potřeba 
(%, tis. ha)</t>
  </si>
  <si>
    <t>Meziplodiny (nad 8 týdnů) – letní (ponechaná nadzemní hmota)</t>
  </si>
  <si>
    <t>Meziplodiny – přezimující (ponechaná nadzemní hmota)</t>
  </si>
  <si>
    <t>Meziplodiny – odvoz nadzemní hmoty</t>
  </si>
  <si>
    <t xml:space="preserve">   ostatní víceleté pícniny (vč. kultury G) a trávy na semeno</t>
  </si>
  <si>
    <t xml:space="preserve">   dopočet plodin dále neuvedených (ostatní obilniny, luskoviny, olejniny, …) a úhorů</t>
  </si>
  <si>
    <t>= OL (t/ha o.p.)</t>
  </si>
  <si>
    <t>Orná půda (o.p., jako součet kultur R + G + U)</t>
  </si>
  <si>
    <r>
      <t>Zákl. potřeba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</si>
  <si>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 xml:space="preserve">Rozdíl </t>
    </r>
    <r>
      <rPr>
        <sz val="11"/>
        <rFont val="Calibri"/>
        <family val="2"/>
        <charset val="238"/>
        <scheme val="minor"/>
      </rPr>
      <t>(kladná hodnota = rezerva)</t>
    </r>
  </si>
  <si>
    <t>Korekce potřeby, 
podle plodin (na 1 ha)</t>
  </si>
  <si>
    <t xml:space="preserve">   brokolice, celer, česnek, mrkev, pór, zelí a lilkovitá nebo tykvovitá zelenina </t>
  </si>
  <si>
    <t xml:space="preserve">Meziplodiny (nad 8 týdnů) – podzimní (ponechaná nadzemní hmota) nebo vymrzající </t>
  </si>
  <si>
    <t>Úhor se zasetou plodinou (kultura U), bez odvozu nadzemní hmoty</t>
  </si>
  <si>
    <t>Pracovní verze: 01.06.2021; zpracoval: Klír (VÚRV, v.v.i., tel. 603 520 684, e-mail: klir@vurv.cz)</t>
  </si>
  <si>
    <t>Druh půdy</t>
  </si>
  <si>
    <t>Plocha (tis. ha)</t>
  </si>
  <si>
    <t>Plocha (ha)</t>
  </si>
  <si>
    <t>lehká (L)</t>
  </si>
  <si>
    <t>střední (S)</t>
  </si>
  <si>
    <t>těžká (T)</t>
  </si>
  <si>
    <t>písčitá, hlinitopísčitá</t>
  </si>
  <si>
    <t>písčitohlinitá, hlinitá</t>
  </si>
  <si>
    <t>jílovitohlinitá, jílovitá, jíl</t>
  </si>
  <si>
    <t>Půda</t>
  </si>
  <si>
    <r>
      <t xml:space="preserve">Potřeba opatření </t>
    </r>
    <r>
      <rPr>
        <sz val="11"/>
        <color theme="1"/>
        <rFont val="Calibri"/>
        <family val="2"/>
        <charset val="238"/>
        <scheme val="minor"/>
      </rPr>
      <t>(rozsah opatření vychází z aplikace hnoje v dávce cca 30 t/ha)</t>
    </r>
  </si>
  <si>
    <r>
      <rPr>
        <b/>
        <sz val="10"/>
        <color theme="1"/>
        <rFont val="Calibri"/>
        <family val="2"/>
        <charset val="238"/>
        <scheme val="minor"/>
      </rPr>
      <t>Poznámky:</t>
    </r>
    <r>
      <rPr>
        <b/>
        <sz val="16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 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  <r>
      <rPr>
        <sz val="10"/>
        <color theme="1"/>
        <rFont val="Calibri"/>
        <family val="2"/>
        <charset val="238"/>
        <scheme val="minor"/>
      </rPr>
      <t xml:space="preserve"> základní potřeba opatření na orné půdě: na středních půdách na 35 % plochy, na lehkých a těžkých půdách na 30 % plochy</t>
    </r>
  </si>
  <si>
    <r>
      <t>Plocha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  <r>
      <rPr>
        <b/>
        <sz val="11"/>
        <color theme="1"/>
        <rFont val="Calibri"/>
        <family val="2"/>
        <charset val="238"/>
        <scheme val="minor"/>
      </rPr>
      <t xml:space="preserve"> 
(tis. ha)</t>
    </r>
  </si>
  <si>
    <r>
      <t>Jiná dávka</t>
    </r>
    <r>
      <rPr>
        <b/>
        <vertAlign val="superscript"/>
        <sz val="11"/>
        <color theme="1"/>
        <rFont val="Calibri"/>
        <family val="2"/>
        <charset val="238"/>
        <scheme val="minor"/>
      </rPr>
      <t>3)</t>
    </r>
    <r>
      <rPr>
        <b/>
        <sz val="11"/>
        <color theme="1"/>
        <rFont val="Calibri"/>
        <family val="2"/>
        <charset val="238"/>
        <scheme val="minor"/>
      </rPr>
      <t xml:space="preserve">
(t č.hm./ha)</t>
    </r>
  </si>
  <si>
    <r>
      <t>Plocha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  <r>
      <rPr>
        <b/>
        <sz val="11"/>
        <color theme="1"/>
        <rFont val="Calibri"/>
        <family val="2"/>
        <charset val="238"/>
        <scheme val="minor"/>
      </rPr>
      <t xml:space="preserve"> 
(ha)</t>
    </r>
  </si>
  <si>
    <r>
      <t xml:space="preserve">                       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orientační přepočet</t>
    </r>
  </si>
  <si>
    <r>
      <t xml:space="preserve">                      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  <r>
      <rPr>
        <sz val="10"/>
        <color theme="1"/>
        <rFont val="Calibri"/>
        <family val="2"/>
        <charset val="238"/>
        <scheme val="minor"/>
      </rPr>
      <t xml:space="preserve"> stejná plocha se může započítat i vícekrát</t>
    </r>
  </si>
  <si>
    <t>Výpočet parametrů pro hospodaření s organickou hmotou v zemědělském závodě, za kalendářní rok:</t>
  </si>
  <si>
    <r>
      <t xml:space="preserve">Analýza potřeby a možností opatření pro hospodaření s organickou hmotou </t>
    </r>
    <r>
      <rPr>
        <sz val="11"/>
        <color theme="1"/>
        <rFont val="Calibri"/>
        <family val="2"/>
        <charset val="238"/>
        <scheme val="minor"/>
      </rPr>
      <t>(odhad za ČR, kalendářní rok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</si>
</sst>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0.00000%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164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165" fontId="0" fillId="2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" fontId="0" fillId="2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1" fontId="0" fillId="2" borderId="1" xfId="0" applyNumberFormat="1" applyFont="1" applyFill="1" applyBorder="1" applyAlignment="1">
      <alignment horizontal="right" vertical="center" indent="3"/>
    </xf>
    <xf numFmtId="0" fontId="0" fillId="2" borderId="1" xfId="0" applyFont="1" applyFill="1" applyBorder="1" applyAlignment="1">
      <alignment horizontal="right" vertical="center" indent="3"/>
    </xf>
    <xf numFmtId="3" fontId="0" fillId="0" borderId="0" xfId="0" applyNumberFormat="1" applyFont="1" applyFill="1" applyBorder="1" applyAlignment="1">
      <alignment horizontal="right" vertical="center" indent="3"/>
    </xf>
    <xf numFmtId="165" fontId="0" fillId="2" borderId="1" xfId="0" applyNumberFormat="1" applyFont="1" applyFill="1" applyBorder="1" applyAlignment="1">
      <alignment horizontal="right" vertical="center" indent="2"/>
    </xf>
    <xf numFmtId="165" fontId="1" fillId="2" borderId="1" xfId="0" applyNumberFormat="1" applyFont="1" applyFill="1" applyBorder="1" applyAlignment="1">
      <alignment horizontal="right" vertical="center" indent="2"/>
    </xf>
    <xf numFmtId="164" fontId="0" fillId="2" borderId="1" xfId="0" applyNumberFormat="1" applyFont="1" applyFill="1" applyBorder="1" applyAlignment="1">
      <alignment horizontal="right" vertical="center" indent="3"/>
    </xf>
    <xf numFmtId="3" fontId="0" fillId="2" borderId="1" xfId="0" applyNumberFormat="1" applyFont="1" applyFill="1" applyBorder="1" applyAlignment="1">
      <alignment horizontal="right" vertical="center" indent="5"/>
    </xf>
    <xf numFmtId="3" fontId="5" fillId="2" borderId="1" xfId="0" applyNumberFormat="1" applyFont="1" applyFill="1" applyBorder="1" applyAlignment="1">
      <alignment horizontal="right" vertical="center" indent="5"/>
    </xf>
    <xf numFmtId="166" fontId="1" fillId="2" borderId="1" xfId="0" applyNumberFormat="1" applyFont="1" applyFill="1" applyBorder="1" applyAlignment="1">
      <alignment horizontal="right" vertical="center" indent="5"/>
    </xf>
    <xf numFmtId="167" fontId="4" fillId="0" borderId="0" xfId="0" applyNumberFormat="1" applyFont="1" applyAlignment="1">
      <alignment horizontal="right" vertical="center" indent="2"/>
    </xf>
    <xf numFmtId="3" fontId="1" fillId="0" borderId="1" xfId="0" applyNumberFormat="1" applyFont="1" applyBorder="1" applyAlignment="1" applyProtection="1">
      <alignment horizontal="right" vertical="center" indent="5"/>
      <protection locked="0"/>
    </xf>
    <xf numFmtId="1" fontId="0" fillId="0" borderId="1" xfId="0" applyNumberFormat="1" applyFont="1" applyFill="1" applyBorder="1" applyAlignment="1" applyProtection="1">
      <alignment horizontal="right" vertical="center" indent="5"/>
      <protection locked="0"/>
    </xf>
    <xf numFmtId="1" fontId="0" fillId="0" borderId="1" xfId="0" applyNumberFormat="1" applyFont="1" applyBorder="1" applyAlignment="1" applyProtection="1">
      <alignment horizontal="right" vertical="center" indent="5"/>
      <protection locked="0"/>
    </xf>
    <xf numFmtId="3" fontId="3" fillId="0" borderId="1" xfId="0" applyNumberFormat="1" applyFont="1" applyBorder="1" applyAlignment="1" applyProtection="1">
      <alignment horizontal="right" vertical="center" indent="5"/>
      <protection locked="0"/>
    </xf>
    <xf numFmtId="3" fontId="3" fillId="0" borderId="1" xfId="0" applyNumberFormat="1" applyFont="1" applyFill="1" applyBorder="1" applyAlignment="1" applyProtection="1">
      <alignment horizontal="right" vertical="center" indent="5"/>
      <protection locked="0"/>
    </xf>
    <xf numFmtId="165" fontId="0" fillId="0" borderId="1" xfId="0" applyNumberFormat="1" applyFont="1" applyFill="1" applyBorder="1" applyAlignment="1" applyProtection="1">
      <alignment horizontal="right" vertical="center" indent="2"/>
      <protection locked="0"/>
    </xf>
    <xf numFmtId="164" fontId="0" fillId="0" borderId="1" xfId="0" applyNumberFormat="1" applyFont="1" applyFill="1" applyBorder="1" applyAlignment="1" applyProtection="1">
      <alignment horizontal="right" vertical="center" indent="3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right" vertical="center" indent="5"/>
      <protection locked="0"/>
    </xf>
    <xf numFmtId="166" fontId="0" fillId="0" borderId="1" xfId="0" applyNumberFormat="1" applyFont="1" applyFill="1" applyBorder="1" applyAlignment="1" applyProtection="1">
      <alignment horizontal="right" vertical="center" indent="5"/>
      <protection locked="0"/>
    </xf>
    <xf numFmtId="165" fontId="0" fillId="0" borderId="0" xfId="0" applyNumberFormat="1"/>
    <xf numFmtId="165" fontId="0" fillId="2" borderId="1" xfId="0" applyNumberFormat="1" applyFont="1" applyFill="1" applyBorder="1" applyAlignment="1">
      <alignment horizontal="right" vertical="center" indent="3"/>
    </xf>
    <xf numFmtId="0" fontId="3" fillId="2" borderId="1" xfId="0" applyFont="1" applyFill="1" applyBorder="1" applyAlignment="1">
      <alignment horizontal="right" vertical="center" indent="4"/>
    </xf>
    <xf numFmtId="164" fontId="3" fillId="2" borderId="1" xfId="0" applyNumberFormat="1" applyFont="1" applyFill="1" applyBorder="1" applyAlignment="1">
      <alignment horizontal="right" vertical="center" indent="4"/>
    </xf>
    <xf numFmtId="49" fontId="1" fillId="2" borderId="4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right" vertical="center" indent="4"/>
    </xf>
    <xf numFmtId="9" fontId="11" fillId="0" borderId="0" xfId="0" applyNumberFormat="1" applyFont="1" applyAlignment="1">
      <alignment horizontal="right" vertical="center" indent="3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1" xfId="0" applyFill="1" applyBorder="1"/>
    <xf numFmtId="166" fontId="1" fillId="0" borderId="1" xfId="0" applyNumberFormat="1" applyFont="1" applyBorder="1" applyAlignment="1" applyProtection="1">
      <alignment horizontal="right" vertical="center" indent="5"/>
      <protection locked="0"/>
    </xf>
    <xf numFmtId="166" fontId="0" fillId="2" borderId="1" xfId="0" applyNumberFormat="1" applyFont="1" applyFill="1" applyBorder="1" applyAlignment="1">
      <alignment horizontal="right" vertical="center" indent="5"/>
    </xf>
    <xf numFmtId="166" fontId="0" fillId="0" borderId="1" xfId="0" applyNumberFormat="1" applyBorder="1" applyProtection="1">
      <protection locked="0"/>
    </xf>
    <xf numFmtId="166" fontId="0" fillId="2" borderId="1" xfId="0" applyNumberFormat="1" applyFill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5" fillId="2" borderId="1" xfId="0" applyFont="1" applyFill="1" applyBorder="1" applyAlignment="1">
      <alignment horizontal="center" vertical="center" wrapText="1"/>
    </xf>
    <xf numFmtId="9" fontId="0" fillId="0" borderId="0" xfId="0" applyNumberFormat="1"/>
    <xf numFmtId="0" fontId="3" fillId="0" borderId="1" xfId="0" applyFont="1" applyBorder="1"/>
    <xf numFmtId="3" fontId="0" fillId="0" borderId="1" xfId="0" applyNumberFormat="1" applyBorder="1" applyProtection="1">
      <protection locked="0"/>
    </xf>
    <xf numFmtId="3" fontId="0" fillId="2" borderId="1" xfId="0" applyNumberFormat="1" applyFill="1" applyBorder="1"/>
    <xf numFmtId="165" fontId="1" fillId="2" borderId="2" xfId="0" applyNumberFormat="1" applyFont="1" applyFill="1" applyBorder="1" applyAlignment="1" applyProtection="1">
      <alignment horizontal="right" vertical="center" indent="3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2" fontId="0" fillId="2" borderId="3" xfId="0" applyNumberFormat="1" applyFont="1" applyFill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Alignment="1">
      <alignment vertical="center"/>
    </xf>
    <xf numFmtId="2" fontId="0" fillId="2" borderId="3" xfId="0" applyNumberFormat="1" applyFont="1" applyFill="1" applyBorder="1" applyAlignment="1">
      <alignment horizontal="right" vertical="center" indent="7"/>
    </xf>
    <xf numFmtId="165" fontId="0" fillId="2" borderId="3" xfId="0" applyNumberFormat="1" applyFont="1" applyFill="1" applyBorder="1" applyAlignment="1">
      <alignment horizontal="right" vertical="center" indent="3"/>
    </xf>
    <xf numFmtId="2" fontId="0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right" vertical="center" indent="4"/>
    </xf>
    <xf numFmtId="3" fontId="1" fillId="2" borderId="1" xfId="0" applyNumberFormat="1" applyFont="1" applyFill="1" applyBorder="1" applyAlignment="1">
      <alignment horizontal="right" vertical="center" indent="4"/>
    </xf>
    <xf numFmtId="3" fontId="1" fillId="2" borderId="0" xfId="0" applyNumberFormat="1" applyFont="1" applyFill="1" applyBorder="1" applyAlignment="1">
      <alignment horizontal="right" vertical="center" indent="4"/>
    </xf>
    <xf numFmtId="3" fontId="11" fillId="2" borderId="1" xfId="0" applyNumberFormat="1" applyFont="1" applyFill="1" applyBorder="1" applyAlignment="1">
      <alignment horizontal="right" vertical="center" indent="4"/>
    </xf>
    <xf numFmtId="166" fontId="0" fillId="2" borderId="1" xfId="0" applyNumberFormat="1" applyFont="1" applyFill="1" applyBorder="1" applyAlignment="1">
      <alignment horizontal="right" vertical="center" indent="4"/>
    </xf>
    <xf numFmtId="166" fontId="1" fillId="2" borderId="0" xfId="0" applyNumberFormat="1" applyFont="1" applyFill="1" applyBorder="1" applyAlignment="1">
      <alignment horizontal="right" vertical="center" indent="4"/>
    </xf>
    <xf numFmtId="166" fontId="11" fillId="2" borderId="1" xfId="0" applyNumberFormat="1" applyFont="1" applyFill="1" applyBorder="1" applyAlignment="1">
      <alignment horizontal="right" vertical="center" indent="4"/>
    </xf>
    <xf numFmtId="0" fontId="1" fillId="2" borderId="9" xfId="0" applyFont="1" applyFill="1" applyBorder="1" applyAlignment="1">
      <alignment horizontal="center" vertical="center" wrapText="1"/>
    </xf>
    <xf numFmtId="165" fontId="0" fillId="2" borderId="9" xfId="0" applyNumberFormat="1" applyFont="1" applyFill="1" applyBorder="1" applyAlignment="1">
      <alignment horizontal="right" vertical="center" indent="3"/>
    </xf>
    <xf numFmtId="3" fontId="0" fillId="2" borderId="6" xfId="0" applyNumberFormat="1" applyFont="1" applyFill="1" applyBorder="1" applyAlignment="1">
      <alignment horizontal="right" vertical="center" indent="4"/>
    </xf>
    <xf numFmtId="165" fontId="1" fillId="2" borderId="1" xfId="0" applyNumberFormat="1" applyFont="1" applyFill="1" applyBorder="1" applyAlignment="1">
      <alignment horizontal="right" vertical="center" indent="3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65" fontId="0" fillId="2" borderId="3" xfId="0" applyNumberFormat="1" applyFont="1" applyFill="1" applyBorder="1" applyAlignment="1">
      <alignment horizontal="right" vertical="center" indent="10"/>
    </xf>
    <xf numFmtId="165" fontId="0" fillId="2" borderId="4" xfId="0" applyNumberFormat="1" applyFont="1" applyFill="1" applyBorder="1" applyAlignment="1">
      <alignment horizontal="right" vertical="center" indent="1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0" fillId="2" borderId="3" xfId="0" applyNumberFormat="1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 vertical="center"/>
    </xf>
    <xf numFmtId="165" fontId="0" fillId="2" borderId="8" xfId="0" applyNumberFormat="1" applyFont="1" applyFill="1" applyBorder="1" applyAlignment="1">
      <alignment horizontal="right" vertical="center" indent="10"/>
    </xf>
    <xf numFmtId="165" fontId="0" fillId="2" borderId="8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abSelected="1" zoomScale="95" zoomScaleNormal="95" workbookViewId="0">
      <selection activeCell="D2" sqref="D2"/>
    </sheetView>
  </sheetViews>
  <sheetFormatPr defaultRowHeight="15" x14ac:dyDescent="0.25"/>
  <cols>
    <col min="1" max="1" width="1.5703125" customWidth="1"/>
    <col min="2" max="2" width="76" customWidth="1"/>
    <col min="3" max="3" width="18.5703125" customWidth="1"/>
    <col min="4" max="4" width="23.42578125" customWidth="1"/>
    <col min="5" max="5" width="15.42578125" customWidth="1"/>
    <col min="6" max="8" width="15.28515625" customWidth="1"/>
    <col min="9" max="9" width="9.85546875" customWidth="1"/>
    <col min="10" max="10" width="9.5703125" customWidth="1"/>
    <col min="11" max="11" width="21.7109375" customWidth="1"/>
  </cols>
  <sheetData>
    <row r="1" spans="2:11" ht="3.75" customHeight="1" thickBot="1" x14ac:dyDescent="0.3"/>
    <row r="2" spans="2:11" ht="15" customHeight="1" thickBot="1" x14ac:dyDescent="0.3">
      <c r="B2" s="75" t="s">
        <v>79</v>
      </c>
      <c r="C2" s="75"/>
      <c r="D2" s="43" t="s">
        <v>38</v>
      </c>
      <c r="E2" s="51" t="s">
        <v>55</v>
      </c>
      <c r="F2" s="68">
        <f>IF(C5=0,35%,(35%*J6+30%*J5+30%*J7)/C5)</f>
        <v>0.35</v>
      </c>
      <c r="G2" s="50" t="s">
        <v>53</v>
      </c>
      <c r="H2" s="52">
        <f>F2*30*0.165</f>
        <v>1.7325000000000002</v>
      </c>
    </row>
    <row r="3" spans="2:11" ht="3" customHeight="1" x14ac:dyDescent="0.25">
      <c r="B3" s="2"/>
      <c r="C3" s="3"/>
      <c r="D3" s="3"/>
      <c r="E3" s="3"/>
      <c r="F3" s="3"/>
      <c r="G3" s="3"/>
    </row>
    <row r="4" spans="2:11" ht="32.1" customHeight="1" x14ac:dyDescent="0.25">
      <c r="B4" s="4" t="s">
        <v>72</v>
      </c>
      <c r="C4" s="5" t="s">
        <v>39</v>
      </c>
      <c r="D4" s="69" t="s">
        <v>57</v>
      </c>
      <c r="E4" s="5" t="s">
        <v>0</v>
      </c>
      <c r="F4" s="100" t="s">
        <v>34</v>
      </c>
      <c r="G4" s="101"/>
      <c r="H4" s="69" t="s">
        <v>46</v>
      </c>
      <c r="I4" s="5" t="s">
        <v>62</v>
      </c>
      <c r="J4" s="5" t="s">
        <v>64</v>
      </c>
      <c r="K4" s="63" t="s">
        <v>71</v>
      </c>
    </row>
    <row r="5" spans="2:11" ht="14.1" customHeight="1" x14ac:dyDescent="0.25">
      <c r="B5" s="6" t="s">
        <v>54</v>
      </c>
      <c r="C5" s="57"/>
      <c r="D5" s="73"/>
      <c r="E5" s="30"/>
      <c r="F5" s="93"/>
      <c r="G5" s="94"/>
      <c r="H5" s="73"/>
      <c r="I5" s="56" t="s">
        <v>65</v>
      </c>
      <c r="J5" s="59"/>
      <c r="K5" s="65" t="s">
        <v>68</v>
      </c>
    </row>
    <row r="6" spans="2:11" ht="14.1" customHeight="1" x14ac:dyDescent="0.25">
      <c r="B6" s="6" t="s">
        <v>52</v>
      </c>
      <c r="C6" s="58">
        <f>C5-C7-C8-C9-C10</f>
        <v>0</v>
      </c>
      <c r="D6" s="73"/>
      <c r="E6" s="29">
        <f>IF(C$5=0,0,C6/C$5)</f>
        <v>0</v>
      </c>
      <c r="F6" s="93"/>
      <c r="G6" s="94"/>
      <c r="H6" s="78">
        <f>F2</f>
        <v>0.35</v>
      </c>
      <c r="I6" s="56" t="s">
        <v>66</v>
      </c>
      <c r="J6" s="60">
        <f>C5-J5-J7</f>
        <v>0</v>
      </c>
      <c r="K6" s="65" t="s">
        <v>69</v>
      </c>
    </row>
    <row r="7" spans="2:11" ht="14.1" customHeight="1" x14ac:dyDescent="0.25">
      <c r="B7" s="6" t="s">
        <v>3</v>
      </c>
      <c r="C7" s="45"/>
      <c r="D7" s="77">
        <v>-0.3</v>
      </c>
      <c r="E7" s="29">
        <f>IF(C$5=0,0,C7/C$5)</f>
        <v>0</v>
      </c>
      <c r="F7" s="95">
        <f>IF($E7=0,0,$E7*D7*-1)</f>
        <v>0</v>
      </c>
      <c r="G7" s="96"/>
      <c r="H7" s="78">
        <f>H6+F7</f>
        <v>0.35</v>
      </c>
      <c r="I7" s="56" t="s">
        <v>67</v>
      </c>
      <c r="J7" s="66"/>
      <c r="K7" s="65" t="s">
        <v>70</v>
      </c>
    </row>
    <row r="8" spans="2:11" ht="14.1" customHeight="1" x14ac:dyDescent="0.25">
      <c r="B8" s="6" t="s">
        <v>58</v>
      </c>
      <c r="C8" s="44"/>
      <c r="D8" s="77">
        <v>-0.3</v>
      </c>
      <c r="E8" s="29">
        <f>IF(C$5=0,0,C8/C$5)</f>
        <v>0</v>
      </c>
      <c r="F8" s="95">
        <f>IF($E8=0,0,$E8*D8*-1)</f>
        <v>0</v>
      </c>
      <c r="G8" s="96"/>
      <c r="H8" s="47">
        <f>H7+F8</f>
        <v>0.35</v>
      </c>
      <c r="J8" s="61" t="str">
        <f>IF(C5=0,"",IF(J6&lt;0,"chyba",""))</f>
        <v/>
      </c>
    </row>
    <row r="9" spans="2:11" ht="14.1" customHeight="1" x14ac:dyDescent="0.25">
      <c r="B9" s="6" t="s">
        <v>20</v>
      </c>
      <c r="C9" s="44"/>
      <c r="D9" s="77">
        <v>0.9</v>
      </c>
      <c r="E9" s="29">
        <f>IF(C$5=0,0,C9/C$5)</f>
        <v>0</v>
      </c>
      <c r="F9" s="95">
        <f>IF($E9=0,0,$E9*D9*-1)</f>
        <v>0</v>
      </c>
      <c r="G9" s="96"/>
      <c r="H9" s="47">
        <f t="shared" ref="H9:H10" si="0">H8+F9</f>
        <v>0.35</v>
      </c>
      <c r="J9" s="62"/>
    </row>
    <row r="10" spans="2:11" ht="14.1" customHeight="1" x14ac:dyDescent="0.25">
      <c r="B10" s="6" t="s">
        <v>51</v>
      </c>
      <c r="C10" s="44"/>
      <c r="D10" s="77">
        <v>0.7</v>
      </c>
      <c r="E10" s="29">
        <f>IF(C$5=0,0,C10/C$5)</f>
        <v>0</v>
      </c>
      <c r="F10" s="95">
        <f>IF($E10=0,0,$E10*D10*-1)</f>
        <v>0</v>
      </c>
      <c r="G10" s="96"/>
      <c r="H10" s="90">
        <f t="shared" si="0"/>
        <v>0.35</v>
      </c>
    </row>
    <row r="11" spans="2:11" ht="14.1" customHeight="1" x14ac:dyDescent="0.25">
      <c r="B11" s="9" t="s">
        <v>29</v>
      </c>
      <c r="C11" s="10"/>
      <c r="D11" s="74"/>
      <c r="E11" s="29"/>
      <c r="F11" s="102"/>
      <c r="G11" s="103"/>
      <c r="H11" s="52">
        <f>H10*$C$5</f>
        <v>0</v>
      </c>
      <c r="J11" s="1"/>
      <c r="K11" s="1"/>
    </row>
    <row r="12" spans="2:11" ht="3" customHeight="1" x14ac:dyDescent="0.25">
      <c r="B12" s="11"/>
      <c r="C12" s="11"/>
      <c r="D12" s="11"/>
      <c r="E12" s="11"/>
      <c r="F12" s="11"/>
      <c r="G12" s="11"/>
      <c r="H12" s="11"/>
    </row>
    <row r="13" spans="2:11" ht="31.5" customHeight="1" x14ac:dyDescent="0.25">
      <c r="B13" s="70" t="s">
        <v>43</v>
      </c>
      <c r="C13" s="71" t="s">
        <v>40</v>
      </c>
      <c r="D13" s="69" t="s">
        <v>23</v>
      </c>
      <c r="E13" s="71" t="s">
        <v>32</v>
      </c>
      <c r="F13" s="71" t="s">
        <v>1</v>
      </c>
      <c r="G13" s="71" t="s">
        <v>2</v>
      </c>
      <c r="H13" s="91" t="s">
        <v>41</v>
      </c>
    </row>
    <row r="14" spans="2:11" ht="14.1" customHeight="1" x14ac:dyDescent="0.25">
      <c r="B14" s="6" t="s">
        <v>4</v>
      </c>
      <c r="C14" s="44"/>
      <c r="D14" s="79">
        <v>0.85</v>
      </c>
      <c r="E14" s="26">
        <v>25</v>
      </c>
      <c r="F14" s="47">
        <v>0.22</v>
      </c>
      <c r="G14" s="41"/>
      <c r="H14" s="84">
        <f t="shared" ref="H14:H27" si="1">IF(G14=0,(C14/E14)*D14,(C14/E14)*D14*(G14/F14))</f>
        <v>0</v>
      </c>
      <c r="J14" s="64"/>
    </row>
    <row r="15" spans="2:11" ht="14.1" customHeight="1" x14ac:dyDescent="0.25">
      <c r="B15" s="6" t="s">
        <v>5</v>
      </c>
      <c r="C15" s="44"/>
      <c r="D15" s="79">
        <v>0.85</v>
      </c>
      <c r="E15" s="26">
        <v>15</v>
      </c>
      <c r="F15" s="47">
        <v>0.4</v>
      </c>
      <c r="G15" s="41"/>
      <c r="H15" s="84">
        <f t="shared" si="1"/>
        <v>0</v>
      </c>
      <c r="J15" s="64"/>
    </row>
    <row r="16" spans="2:11" ht="14.1" customHeight="1" x14ac:dyDescent="0.25">
      <c r="B16" s="6" t="s">
        <v>17</v>
      </c>
      <c r="C16" s="44"/>
      <c r="D16" s="79">
        <v>0.4</v>
      </c>
      <c r="E16" s="26">
        <v>5</v>
      </c>
      <c r="F16" s="47">
        <v>1</v>
      </c>
      <c r="G16" s="41"/>
      <c r="H16" s="84">
        <f t="shared" si="1"/>
        <v>0</v>
      </c>
      <c r="J16" s="64"/>
    </row>
    <row r="17" spans="2:10" ht="14.1" customHeight="1" x14ac:dyDescent="0.25">
      <c r="B17" s="6" t="s">
        <v>9</v>
      </c>
      <c r="C17" s="45"/>
      <c r="D17" s="79">
        <v>0.18</v>
      </c>
      <c r="E17" s="26">
        <v>20</v>
      </c>
      <c r="F17" s="47">
        <v>7.2999999999999995E-2</v>
      </c>
      <c r="G17" s="41"/>
      <c r="H17" s="84">
        <f t="shared" si="1"/>
        <v>0</v>
      </c>
      <c r="J17" s="64"/>
    </row>
    <row r="18" spans="2:10" ht="14.1" customHeight="1" x14ac:dyDescent="0.25">
      <c r="B18" s="6" t="s">
        <v>10</v>
      </c>
      <c r="C18" s="45"/>
      <c r="D18" s="79">
        <f>F18/F17*D17+0.002</f>
        <v>0.14501369863013699</v>
      </c>
      <c r="E18" s="26">
        <v>20</v>
      </c>
      <c r="F18" s="47">
        <v>5.8000000000000003E-2</v>
      </c>
      <c r="G18" s="41"/>
      <c r="H18" s="84">
        <f t="shared" si="1"/>
        <v>0</v>
      </c>
      <c r="J18" s="64"/>
    </row>
    <row r="19" spans="2:10" ht="14.1" customHeight="1" x14ac:dyDescent="0.25">
      <c r="B19" s="6" t="s">
        <v>11</v>
      </c>
      <c r="C19" s="45"/>
      <c r="D19" s="79">
        <v>0.1</v>
      </c>
      <c r="E19" s="26">
        <v>20</v>
      </c>
      <c r="F19" s="47">
        <v>5.2999999999999999E-2</v>
      </c>
      <c r="G19" s="41"/>
      <c r="H19" s="84">
        <f t="shared" si="1"/>
        <v>0</v>
      </c>
      <c r="J19" s="64"/>
    </row>
    <row r="20" spans="2:10" ht="14.1" customHeight="1" x14ac:dyDescent="0.25">
      <c r="B20" s="6" t="s">
        <v>12</v>
      </c>
      <c r="C20" s="45"/>
      <c r="D20" s="79">
        <f>F20/F19*D19+0.001</f>
        <v>6.5150943396226429E-2</v>
      </c>
      <c r="E20" s="26">
        <v>20</v>
      </c>
      <c r="F20" s="47">
        <v>3.4000000000000002E-2</v>
      </c>
      <c r="G20" s="41"/>
      <c r="H20" s="84">
        <f t="shared" si="1"/>
        <v>0</v>
      </c>
      <c r="J20" s="64"/>
    </row>
    <row r="21" spans="2:10" ht="14.1" customHeight="1" x14ac:dyDescent="0.25">
      <c r="B21" s="6" t="s">
        <v>13</v>
      </c>
      <c r="C21" s="44"/>
      <c r="D21" s="79">
        <v>0.15</v>
      </c>
      <c r="E21" s="26">
        <v>20</v>
      </c>
      <c r="F21" s="47">
        <v>6.5000000000000002E-2</v>
      </c>
      <c r="G21" s="41"/>
      <c r="H21" s="84">
        <f t="shared" si="1"/>
        <v>0</v>
      </c>
      <c r="J21" s="64"/>
    </row>
    <row r="22" spans="2:10" ht="14.1" customHeight="1" x14ac:dyDescent="0.25">
      <c r="B22" s="6" t="s">
        <v>14</v>
      </c>
      <c r="C22" s="44"/>
      <c r="D22" s="79">
        <f>F22/F21*D21</f>
        <v>9.9230769230769206E-2</v>
      </c>
      <c r="E22" s="26">
        <v>20</v>
      </c>
      <c r="F22" s="47">
        <v>4.2999999999999997E-2</v>
      </c>
      <c r="G22" s="41"/>
      <c r="H22" s="84">
        <f t="shared" si="1"/>
        <v>0</v>
      </c>
      <c r="J22" s="64"/>
    </row>
    <row r="23" spans="2:10" ht="14.1" customHeight="1" x14ac:dyDescent="0.25">
      <c r="B23" s="6" t="s">
        <v>15</v>
      </c>
      <c r="C23" s="44"/>
      <c r="D23" s="79">
        <v>0.15</v>
      </c>
      <c r="E23" s="26">
        <v>5</v>
      </c>
      <c r="F23" s="47">
        <v>0.3</v>
      </c>
      <c r="G23" s="41"/>
      <c r="H23" s="84">
        <f t="shared" si="1"/>
        <v>0</v>
      </c>
      <c r="J23" s="64"/>
    </row>
    <row r="24" spans="2:10" ht="14.1" customHeight="1" x14ac:dyDescent="0.25">
      <c r="B24" s="6" t="s">
        <v>16</v>
      </c>
      <c r="C24" s="44"/>
      <c r="D24" s="79">
        <v>0.1</v>
      </c>
      <c r="E24" s="26">
        <v>20</v>
      </c>
      <c r="F24" s="47">
        <v>0.05</v>
      </c>
      <c r="G24" s="41"/>
      <c r="H24" s="84">
        <f t="shared" si="1"/>
        <v>0</v>
      </c>
      <c r="J24" s="64"/>
    </row>
    <row r="25" spans="2:10" ht="14.1" customHeight="1" x14ac:dyDescent="0.25">
      <c r="B25" s="6" t="s">
        <v>6</v>
      </c>
      <c r="C25" s="44"/>
      <c r="D25" s="79">
        <v>0.3</v>
      </c>
      <c r="E25" s="26">
        <v>5</v>
      </c>
      <c r="F25" s="47">
        <v>0.73</v>
      </c>
      <c r="G25" s="41"/>
      <c r="H25" s="84">
        <f t="shared" si="1"/>
        <v>0</v>
      </c>
      <c r="J25" s="64"/>
    </row>
    <row r="26" spans="2:10" ht="14.1" customHeight="1" x14ac:dyDescent="0.25">
      <c r="B26" s="6" t="s">
        <v>7</v>
      </c>
      <c r="C26" s="44"/>
      <c r="D26" s="79">
        <v>0.17</v>
      </c>
      <c r="E26" s="26">
        <v>5.2941176470588234</v>
      </c>
      <c r="F26" s="47">
        <v>0.42</v>
      </c>
      <c r="G26" s="41"/>
      <c r="H26" s="84">
        <f t="shared" si="1"/>
        <v>0</v>
      </c>
      <c r="J26" s="64"/>
    </row>
    <row r="27" spans="2:10" ht="14.1" customHeight="1" x14ac:dyDescent="0.25">
      <c r="B27" s="6" t="s">
        <v>8</v>
      </c>
      <c r="C27" s="44"/>
      <c r="D27" s="79">
        <v>0.13</v>
      </c>
      <c r="E27" s="26">
        <v>5.2941176470588234</v>
      </c>
      <c r="F27" s="47">
        <v>0.32</v>
      </c>
      <c r="G27" s="41"/>
      <c r="H27" s="84">
        <f t="shared" si="1"/>
        <v>0</v>
      </c>
      <c r="J27" s="64"/>
    </row>
    <row r="28" spans="2:10" ht="14.1" customHeight="1" x14ac:dyDescent="0.25">
      <c r="B28" s="9" t="s">
        <v>22</v>
      </c>
      <c r="C28" s="34">
        <f>SUM(C14:C27)</f>
        <v>0</v>
      </c>
      <c r="D28" s="8"/>
      <c r="E28" s="12"/>
      <c r="F28" s="7"/>
      <c r="G28" s="7"/>
      <c r="H28" s="52">
        <f>SUM(H14:H27)</f>
        <v>0</v>
      </c>
    </row>
    <row r="29" spans="2:10" ht="3" customHeight="1" x14ac:dyDescent="0.25">
      <c r="B29" s="13"/>
      <c r="C29" s="14"/>
      <c r="D29" s="15"/>
      <c r="E29" s="16"/>
      <c r="F29" s="17"/>
      <c r="G29" s="18"/>
      <c r="H29" s="28"/>
    </row>
    <row r="30" spans="2:10" ht="33" customHeight="1" x14ac:dyDescent="0.25">
      <c r="B30" s="70" t="s">
        <v>42</v>
      </c>
      <c r="C30" s="71" t="s">
        <v>76</v>
      </c>
      <c r="D30" s="69" t="s">
        <v>23</v>
      </c>
      <c r="E30" s="71" t="s">
        <v>35</v>
      </c>
      <c r="F30" s="72" t="s">
        <v>36</v>
      </c>
      <c r="G30" s="71" t="s">
        <v>75</v>
      </c>
      <c r="H30" s="91" t="s">
        <v>41</v>
      </c>
    </row>
    <row r="31" spans="2:10" ht="14.1" customHeight="1" x14ac:dyDescent="0.25">
      <c r="B31" s="6" t="s">
        <v>28</v>
      </c>
      <c r="C31" s="39"/>
      <c r="D31" s="79">
        <v>0.5</v>
      </c>
      <c r="E31" s="27">
        <v>5</v>
      </c>
      <c r="F31" s="48">
        <f>E31*0.9</f>
        <v>4.5</v>
      </c>
      <c r="G31" s="42"/>
      <c r="H31" s="84">
        <f>IF(G31=0,C31*D31,(C31*D31)*(G31/E31))</f>
        <v>0</v>
      </c>
      <c r="J31" s="64"/>
    </row>
    <row r="32" spans="2:10" ht="14.1" customHeight="1" x14ac:dyDescent="0.25">
      <c r="B32" s="6" t="s">
        <v>37</v>
      </c>
      <c r="C32" s="39"/>
      <c r="D32" s="79">
        <v>0.1</v>
      </c>
      <c r="E32" s="27"/>
      <c r="F32" s="48"/>
      <c r="G32" s="31"/>
      <c r="H32" s="84">
        <f>IF(G32=0,C32*D32,(C32*D32)*(G32/E32))</f>
        <v>0</v>
      </c>
      <c r="J32" s="64"/>
    </row>
    <row r="33" spans="2:10" ht="14.1" customHeight="1" x14ac:dyDescent="0.25">
      <c r="B33" s="6" t="s">
        <v>25</v>
      </c>
      <c r="C33" s="40"/>
      <c r="D33" s="79">
        <v>0.25</v>
      </c>
      <c r="E33" s="27">
        <v>25</v>
      </c>
      <c r="F33" s="49">
        <f>E33*0.15</f>
        <v>3.75</v>
      </c>
      <c r="G33" s="42"/>
      <c r="H33" s="84">
        <f>IF(G33=0,C33*D33,(C33*D33)*(G33/E33))</f>
        <v>0</v>
      </c>
      <c r="J33" s="64"/>
    </row>
    <row r="34" spans="2:10" ht="14.1" customHeight="1" x14ac:dyDescent="0.25">
      <c r="B34" s="6" t="s">
        <v>48</v>
      </c>
      <c r="C34" s="39"/>
      <c r="D34" s="79">
        <v>0.2</v>
      </c>
      <c r="E34" s="27">
        <v>10</v>
      </c>
      <c r="F34" s="49">
        <f t="shared" ref="F34:F39" si="2">E34*0.15</f>
        <v>1.5</v>
      </c>
      <c r="G34" s="42"/>
      <c r="H34" s="84">
        <f>IF(G34=0,C34*D34,(C34*(D34-0.1))+(C34*0.1*(G34/E34)))</f>
        <v>0</v>
      </c>
      <c r="J34" s="64"/>
    </row>
    <row r="35" spans="2:10" ht="14.1" customHeight="1" x14ac:dyDescent="0.25">
      <c r="B35" s="6" t="s">
        <v>59</v>
      </c>
      <c r="C35" s="39"/>
      <c r="D35" s="79">
        <v>0.35</v>
      </c>
      <c r="E35" s="27">
        <v>25</v>
      </c>
      <c r="F35" s="49">
        <f t="shared" si="2"/>
        <v>3.75</v>
      </c>
      <c r="G35" s="42"/>
      <c r="H35" s="84">
        <f>IF(G35=0,C35*D35,(C35*(D35-0.25))+(C35*0.25*(G35/E35)))</f>
        <v>0</v>
      </c>
      <c r="J35" s="64"/>
    </row>
    <row r="36" spans="2:10" ht="14.1" customHeight="1" x14ac:dyDescent="0.25">
      <c r="B36" s="6" t="s">
        <v>49</v>
      </c>
      <c r="C36" s="39"/>
      <c r="D36" s="79">
        <v>0.45</v>
      </c>
      <c r="E36" s="27">
        <v>30</v>
      </c>
      <c r="F36" s="49">
        <f t="shared" si="2"/>
        <v>4.5</v>
      </c>
      <c r="G36" s="42"/>
      <c r="H36" s="84">
        <f>IF(G36=0,C36*D36,(C36*(D36-0.3))+(C36*0.3*(G36/E36)))</f>
        <v>0</v>
      </c>
      <c r="J36" s="64"/>
    </row>
    <row r="37" spans="2:10" ht="14.1" customHeight="1" x14ac:dyDescent="0.25">
      <c r="B37" s="6" t="s">
        <v>50</v>
      </c>
      <c r="C37" s="39"/>
      <c r="D37" s="79">
        <v>0.1</v>
      </c>
      <c r="E37" s="27"/>
      <c r="F37" s="49"/>
      <c r="G37" s="31"/>
      <c r="H37" s="84">
        <f>IF(G37=0,C37*D37,(C37*D37)*(G37/E37))</f>
        <v>0</v>
      </c>
      <c r="J37" s="64"/>
    </row>
    <row r="38" spans="2:10" ht="14.1" customHeight="1" x14ac:dyDescent="0.25">
      <c r="B38" s="6" t="s">
        <v>26</v>
      </c>
      <c r="C38" s="39"/>
      <c r="D38" s="79">
        <v>0.2</v>
      </c>
      <c r="E38" s="27">
        <v>10</v>
      </c>
      <c r="F38" s="49">
        <f t="shared" si="2"/>
        <v>1.5</v>
      </c>
      <c r="G38" s="42"/>
      <c r="H38" s="84">
        <f>IF(G38=0,C38*D38,(C38*(D38-0.1))+(C38*0.1*(G38/E38)))</f>
        <v>0</v>
      </c>
      <c r="J38" s="64"/>
    </row>
    <row r="39" spans="2:10" ht="14.1" customHeight="1" x14ac:dyDescent="0.25">
      <c r="B39" s="6" t="s">
        <v>21</v>
      </c>
      <c r="C39" s="39"/>
      <c r="D39" s="79">
        <v>0.2</v>
      </c>
      <c r="E39" s="27">
        <v>10</v>
      </c>
      <c r="F39" s="49">
        <f t="shared" si="2"/>
        <v>1.5</v>
      </c>
      <c r="G39" s="42"/>
      <c r="H39" s="84">
        <f>IF(G39=0,C39*D39,(C39*D39)*(G39/E39))</f>
        <v>0</v>
      </c>
      <c r="J39" s="64"/>
    </row>
    <row r="40" spans="2:10" ht="14.1" customHeight="1" x14ac:dyDescent="0.25">
      <c r="B40" s="6" t="s">
        <v>18</v>
      </c>
      <c r="C40" s="39"/>
      <c r="D40" s="79">
        <v>0.2</v>
      </c>
      <c r="E40" s="27"/>
      <c r="F40" s="48"/>
      <c r="G40" s="31"/>
      <c r="H40" s="84">
        <f>IF(G40=0,C40*D40,(C40*D40)*(G40/E40))</f>
        <v>0</v>
      </c>
      <c r="J40" s="64"/>
    </row>
    <row r="41" spans="2:10" ht="14.1" customHeight="1" x14ac:dyDescent="0.25">
      <c r="B41" s="6" t="s">
        <v>19</v>
      </c>
      <c r="C41" s="39"/>
      <c r="D41" s="79">
        <v>0.2</v>
      </c>
      <c r="E41" s="27"/>
      <c r="F41" s="48"/>
      <c r="G41" s="31"/>
      <c r="H41" s="84">
        <f>IF(G41=0,C41*D41,(C41*D41)*(G41/E41))</f>
        <v>0</v>
      </c>
      <c r="J41" s="64"/>
    </row>
    <row r="42" spans="2:10" ht="14.1" customHeight="1" x14ac:dyDescent="0.25">
      <c r="B42" s="6" t="s">
        <v>27</v>
      </c>
      <c r="C42" s="39"/>
      <c r="D42" s="79">
        <v>0.2</v>
      </c>
      <c r="E42" s="27"/>
      <c r="F42" s="48"/>
      <c r="G42" s="31"/>
      <c r="H42" s="84">
        <f>IF(G42=0,C42*D42,(C42*D42)*(G42/E42))</f>
        <v>0</v>
      </c>
      <c r="J42" s="64"/>
    </row>
    <row r="43" spans="2:10" ht="14.1" customHeight="1" x14ac:dyDescent="0.25">
      <c r="B43" s="6" t="s">
        <v>60</v>
      </c>
      <c r="C43" s="39"/>
      <c r="D43" s="79">
        <v>0.45</v>
      </c>
      <c r="E43" s="27">
        <v>20</v>
      </c>
      <c r="F43" s="49">
        <f t="shared" ref="F43" si="3">E43*0.15</f>
        <v>3</v>
      </c>
      <c r="G43" s="42"/>
      <c r="H43" s="84">
        <f>IF(G43=0,C43*D43,(C43*(D43-0.2))+(C43*0.2*(G43/E43)))</f>
        <v>0</v>
      </c>
      <c r="J43" s="64"/>
    </row>
    <row r="44" spans="2:10" ht="14.1" customHeight="1" x14ac:dyDescent="0.25">
      <c r="B44" s="9" t="s">
        <v>22</v>
      </c>
      <c r="C44" s="34">
        <f>SUM(C31:C43)</f>
        <v>0</v>
      </c>
      <c r="D44" s="19"/>
      <c r="E44" s="6"/>
      <c r="F44" s="6"/>
      <c r="G44" s="20"/>
      <c r="H44" s="52">
        <f>SUM(H31:H43)</f>
        <v>0</v>
      </c>
    </row>
    <row r="45" spans="2:10" ht="3" customHeight="1" x14ac:dyDescent="0.25">
      <c r="B45" s="21"/>
      <c r="C45" s="22"/>
      <c r="D45" s="23"/>
      <c r="E45" s="13"/>
      <c r="F45" s="13"/>
      <c r="G45" s="23"/>
      <c r="H45" s="85"/>
    </row>
    <row r="46" spans="2:10" ht="14.1" customHeight="1" x14ac:dyDescent="0.25">
      <c r="B46" s="9" t="s">
        <v>30</v>
      </c>
      <c r="C46" s="24"/>
      <c r="D46" s="19"/>
      <c r="E46" s="6"/>
      <c r="F46" s="6"/>
      <c r="G46" s="19"/>
      <c r="H46" s="52">
        <f>H28+H44</f>
        <v>0</v>
      </c>
    </row>
    <row r="47" spans="2:10" ht="14.1" customHeight="1" x14ac:dyDescent="0.25">
      <c r="B47" s="54" t="s">
        <v>56</v>
      </c>
      <c r="C47" s="55"/>
      <c r="D47" s="55"/>
      <c r="E47" s="55"/>
      <c r="F47" s="55"/>
      <c r="G47" s="55"/>
      <c r="H47" s="86">
        <f>H46-H11</f>
        <v>0</v>
      </c>
    </row>
    <row r="48" spans="2:10" ht="15.95" customHeight="1" x14ac:dyDescent="0.25">
      <c r="B48" s="99" t="s">
        <v>73</v>
      </c>
      <c r="C48" s="99"/>
      <c r="D48" s="99"/>
      <c r="E48" s="99"/>
      <c r="F48" s="99"/>
      <c r="G48" s="99"/>
      <c r="H48" s="53" t="str">
        <f>IF(H11=0,"",H47/H11)</f>
        <v/>
      </c>
    </row>
    <row r="49" spans="2:8" ht="15.95" customHeight="1" x14ac:dyDescent="0.25">
      <c r="B49" s="97" t="s">
        <v>78</v>
      </c>
      <c r="C49" s="97"/>
      <c r="D49" s="97"/>
      <c r="E49" s="97"/>
      <c r="F49" s="97"/>
      <c r="G49" s="97"/>
      <c r="H49" s="35"/>
    </row>
    <row r="50" spans="2:8" ht="15.95" customHeight="1" x14ac:dyDescent="0.25">
      <c r="B50" s="97" t="s">
        <v>77</v>
      </c>
      <c r="C50" s="97"/>
      <c r="D50" s="97"/>
      <c r="E50" s="97"/>
      <c r="F50" s="97"/>
      <c r="G50" s="97"/>
      <c r="H50" s="35"/>
    </row>
    <row r="51" spans="2:8" ht="14.1" customHeight="1" x14ac:dyDescent="0.25">
      <c r="B51" s="98" t="s">
        <v>61</v>
      </c>
      <c r="C51" s="98"/>
      <c r="D51" s="98"/>
      <c r="E51" s="98"/>
      <c r="F51" s="98"/>
      <c r="G51" s="98"/>
      <c r="H51" s="3"/>
    </row>
    <row r="52" spans="2:8" ht="14.1" customHeight="1" x14ac:dyDescent="0.25">
      <c r="B52" s="3"/>
      <c r="C52" s="3"/>
      <c r="D52" s="3"/>
      <c r="E52" s="3"/>
      <c r="F52" s="3"/>
      <c r="G52" s="3"/>
      <c r="H52" s="25"/>
    </row>
  </sheetData>
  <sheetProtection password="DEBF" sheet="1" objects="1" scenarios="1" formatColumns="0" formatRows="0" selectLockedCells="1"/>
  <mergeCells count="12">
    <mergeCell ref="F4:G4"/>
    <mergeCell ref="F5:G5"/>
    <mergeCell ref="F8:G8"/>
    <mergeCell ref="F9:G9"/>
    <mergeCell ref="F10:G10"/>
    <mergeCell ref="F6:G6"/>
    <mergeCell ref="F7:G7"/>
    <mergeCell ref="B50:G50"/>
    <mergeCell ref="B51:G51"/>
    <mergeCell ref="B48:G48"/>
    <mergeCell ref="B49:G49"/>
    <mergeCell ref="F11:G11"/>
  </mergeCells>
  <pageMargins left="0.7" right="0.7" top="0.78740157499999996" bottom="0.78740157499999996" header="0.3" footer="0.3"/>
  <pageSetup paperSize="9" orientation="portrait" verticalDpi="0" r:id="rId1"/>
  <ignoredErrors>
    <ignoredError sqref="H38" formula="1"/>
    <ignoredError sqref="D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zoomScale="95" zoomScaleNormal="95" workbookViewId="0">
      <selection activeCell="C5" sqref="C5"/>
    </sheetView>
  </sheetViews>
  <sheetFormatPr defaultRowHeight="15" x14ac:dyDescent="0.25"/>
  <cols>
    <col min="1" max="1" width="1.5703125" customWidth="1"/>
    <col min="2" max="2" width="75.5703125" customWidth="1"/>
    <col min="3" max="3" width="18.42578125" customWidth="1"/>
    <col min="4" max="4" width="23.5703125" customWidth="1"/>
    <col min="5" max="5" width="15.42578125" customWidth="1"/>
    <col min="6" max="8" width="15.140625" customWidth="1"/>
    <col min="9" max="9" width="9.42578125" customWidth="1"/>
    <col min="10" max="10" width="9.85546875" customWidth="1"/>
    <col min="11" max="11" width="22.7109375" customWidth="1"/>
  </cols>
  <sheetData>
    <row r="1" spans="2:11" ht="3.75" customHeight="1" thickBot="1" x14ac:dyDescent="0.3"/>
    <row r="2" spans="2:11" ht="15" customHeight="1" thickBot="1" x14ac:dyDescent="0.3">
      <c r="B2" s="76" t="s">
        <v>80</v>
      </c>
      <c r="C2" s="76"/>
      <c r="D2" s="76"/>
      <c r="E2" s="51" t="s">
        <v>55</v>
      </c>
      <c r="F2" s="68">
        <f>IF(C5=0,35%,(35%*J6+30%*J5+30%*J7)/C5)</f>
        <v>0.33500000000000002</v>
      </c>
      <c r="G2" s="50" t="s">
        <v>53</v>
      </c>
      <c r="H2" s="52">
        <f>F2*30*0.165</f>
        <v>1.6582500000000002</v>
      </c>
    </row>
    <row r="3" spans="2:11" ht="3" customHeight="1" x14ac:dyDescent="0.25">
      <c r="B3" s="2"/>
      <c r="C3" s="3"/>
      <c r="D3" s="3"/>
      <c r="E3" s="3"/>
      <c r="F3" s="3"/>
      <c r="G3" s="3"/>
    </row>
    <row r="4" spans="2:11" ht="32.1" customHeight="1" x14ac:dyDescent="0.25">
      <c r="B4" s="4" t="s">
        <v>72</v>
      </c>
      <c r="C4" s="5" t="s">
        <v>33</v>
      </c>
      <c r="D4" s="69" t="s">
        <v>57</v>
      </c>
      <c r="E4" s="5" t="s">
        <v>0</v>
      </c>
      <c r="F4" s="100" t="s">
        <v>34</v>
      </c>
      <c r="G4" s="101"/>
      <c r="H4" s="69" t="s">
        <v>47</v>
      </c>
      <c r="I4" s="5" t="s">
        <v>62</v>
      </c>
      <c r="J4" s="5" t="s">
        <v>63</v>
      </c>
      <c r="K4" s="63" t="s">
        <v>71</v>
      </c>
    </row>
    <row r="5" spans="2:11" ht="14.1" customHeight="1" x14ac:dyDescent="0.25">
      <c r="B5" s="6" t="s">
        <v>54</v>
      </c>
      <c r="C5" s="36">
        <f>2485825/1000</f>
        <v>2485.8249999999998</v>
      </c>
      <c r="D5" s="73"/>
      <c r="E5" s="30"/>
      <c r="F5" s="93"/>
      <c r="G5" s="94"/>
      <c r="H5" s="73"/>
      <c r="I5" s="56" t="s">
        <v>65</v>
      </c>
      <c r="J5" s="66">
        <f>C5*0.15</f>
        <v>372.87374999999997</v>
      </c>
      <c r="K5" s="65" t="s">
        <v>68</v>
      </c>
    </row>
    <row r="6" spans="2:11" ht="14.1" customHeight="1" x14ac:dyDescent="0.25">
      <c r="B6" s="6" t="s">
        <v>52</v>
      </c>
      <c r="C6" s="32">
        <f>C5-C7-C8-C9-C10</f>
        <v>1864.7755599999996</v>
      </c>
      <c r="D6" s="73"/>
      <c r="E6" s="29">
        <f>IF(C$5=0,0,C6/C$5)</f>
        <v>0.75016365190630863</v>
      </c>
      <c r="F6" s="93"/>
      <c r="G6" s="94"/>
      <c r="H6" s="78">
        <f>F2</f>
        <v>0.33500000000000002</v>
      </c>
      <c r="I6" s="56" t="s">
        <v>66</v>
      </c>
      <c r="J6" s="67">
        <f>C5-J5-J7</f>
        <v>1740.0775000000001</v>
      </c>
      <c r="K6" s="65" t="s">
        <v>69</v>
      </c>
    </row>
    <row r="7" spans="2:11" ht="14.1" customHeight="1" x14ac:dyDescent="0.25">
      <c r="B7" s="6" t="s">
        <v>3</v>
      </c>
      <c r="C7" s="37">
        <f>(87230.88+226154.57+59683.58+384.84+23877.02)/1000</f>
        <v>397.33089000000007</v>
      </c>
      <c r="D7" s="77">
        <v>-0.3</v>
      </c>
      <c r="E7" s="29">
        <f>IF(C$5=0,0,C7/C$5)</f>
        <v>0.15983864109500873</v>
      </c>
      <c r="F7" s="95">
        <f>IF($E7=0,0,$E7*D7*-1)</f>
        <v>4.7951592328502615E-2</v>
      </c>
      <c r="G7" s="96"/>
      <c r="H7" s="88">
        <f>H6+F7</f>
        <v>0.38295159232850262</v>
      </c>
      <c r="I7" s="56" t="s">
        <v>67</v>
      </c>
      <c r="J7" s="66">
        <f>C5*0.15</f>
        <v>372.87374999999997</v>
      </c>
      <c r="K7" s="65" t="s">
        <v>70</v>
      </c>
    </row>
    <row r="8" spans="2:11" ht="14.1" customHeight="1" x14ac:dyDescent="0.25">
      <c r="B8" s="6" t="s">
        <v>58</v>
      </c>
      <c r="C8" s="38">
        <f>4657/1000</f>
        <v>4.657</v>
      </c>
      <c r="D8" s="77">
        <v>-0.3</v>
      </c>
      <c r="E8" s="29">
        <f>IF(C$5=0,0,C8/C$5)</f>
        <v>1.8734223044663241E-3</v>
      </c>
      <c r="F8" s="95">
        <f>IF($E8=0,0,$E8*D8*-1)</f>
        <v>5.620266913398972E-4</v>
      </c>
      <c r="G8" s="104"/>
      <c r="H8" s="47">
        <f>H7+F8</f>
        <v>0.38351361901984254</v>
      </c>
      <c r="J8" s="61" t="str">
        <f>IF(C5=0,"",IF(J6&lt;0,"chyba",""))</f>
        <v/>
      </c>
    </row>
    <row r="9" spans="2:11" ht="14.1" customHeight="1" x14ac:dyDescent="0.25">
      <c r="B9" s="6" t="s">
        <v>20</v>
      </c>
      <c r="C9" s="38">
        <f>136111.86/1000</f>
        <v>136.11185999999998</v>
      </c>
      <c r="D9" s="77">
        <v>0.9</v>
      </c>
      <c r="E9" s="29">
        <f>IF(C$5=0,0,C9/C$5)</f>
        <v>5.4755206018122754E-2</v>
      </c>
      <c r="F9" s="95">
        <f>IF($E9=0,0,$E9*D9*-1)</f>
        <v>-4.9279685416310483E-2</v>
      </c>
      <c r="G9" s="104"/>
      <c r="H9" s="47">
        <f t="shared" ref="H9:H10" si="0">H8+F9</f>
        <v>0.33423393360353204</v>
      </c>
    </row>
    <row r="10" spans="2:11" ht="14.1" customHeight="1" x14ac:dyDescent="0.25">
      <c r="B10" s="6" t="s">
        <v>51</v>
      </c>
      <c r="C10" s="38">
        <f>82949.69/1000</f>
        <v>82.949690000000004</v>
      </c>
      <c r="D10" s="77">
        <v>0.7</v>
      </c>
      <c r="E10" s="29">
        <f>IF(C$5=0,0,C10/C$5)</f>
        <v>3.3369078676093455E-2</v>
      </c>
      <c r="F10" s="95">
        <f>IF($E10=0,0,$E10*D10*-1)</f>
        <v>-2.3358355073265419E-2</v>
      </c>
      <c r="G10" s="104"/>
      <c r="H10" s="90">
        <f t="shared" si="0"/>
        <v>0.31087557853026659</v>
      </c>
    </row>
    <row r="11" spans="2:11" ht="14.1" customHeight="1" x14ac:dyDescent="0.25">
      <c r="B11" s="9" t="s">
        <v>29</v>
      </c>
      <c r="C11" s="10"/>
      <c r="D11" s="74"/>
      <c r="E11" s="29"/>
      <c r="F11" s="102"/>
      <c r="G11" s="105"/>
      <c r="H11" s="81">
        <f>H10*$C$5</f>
        <v>772.78228499999989</v>
      </c>
    </row>
    <row r="12" spans="2:11" ht="3" customHeight="1" x14ac:dyDescent="0.25">
      <c r="B12" s="11"/>
      <c r="C12" s="11"/>
      <c r="D12" s="11"/>
      <c r="E12" s="11"/>
      <c r="F12" s="11"/>
      <c r="G12" s="11"/>
      <c r="H12" s="92"/>
    </row>
    <row r="13" spans="2:11" ht="32.25" customHeight="1" x14ac:dyDescent="0.25">
      <c r="B13" s="70" t="s">
        <v>45</v>
      </c>
      <c r="C13" s="71" t="s">
        <v>31</v>
      </c>
      <c r="D13" s="69" t="s">
        <v>23</v>
      </c>
      <c r="E13" s="71" t="s">
        <v>32</v>
      </c>
      <c r="F13" s="71" t="s">
        <v>1</v>
      </c>
      <c r="G13" s="87" t="s">
        <v>2</v>
      </c>
      <c r="H13" s="91" t="s">
        <v>24</v>
      </c>
    </row>
    <row r="14" spans="2:11" ht="14.1" customHeight="1" x14ac:dyDescent="0.25">
      <c r="B14" s="6" t="s">
        <v>4</v>
      </c>
      <c r="C14" s="39">
        <f>9670-220+50</f>
        <v>9500</v>
      </c>
      <c r="D14" s="79">
        <v>0.85</v>
      </c>
      <c r="E14" s="26">
        <v>25</v>
      </c>
      <c r="F14" s="47">
        <v>0.22</v>
      </c>
      <c r="G14" s="41"/>
      <c r="H14" s="89">
        <f t="shared" ref="H14:H27" si="1">IF(G14=0,(C14/E14)*D14,(C14/E14)*D14*(G14/F14))</f>
        <v>323</v>
      </c>
    </row>
    <row r="15" spans="2:11" ht="14.1" customHeight="1" x14ac:dyDescent="0.25">
      <c r="B15" s="6" t="s">
        <v>5</v>
      </c>
      <c r="C15" s="39">
        <v>100</v>
      </c>
      <c r="D15" s="79">
        <v>0.85</v>
      </c>
      <c r="E15" s="26">
        <v>15</v>
      </c>
      <c r="F15" s="47">
        <v>0.4</v>
      </c>
      <c r="G15" s="41"/>
      <c r="H15" s="80">
        <f t="shared" si="1"/>
        <v>5.666666666666667</v>
      </c>
    </row>
    <row r="16" spans="2:11" ht="14.1" customHeight="1" x14ac:dyDescent="0.25">
      <c r="B16" s="6" t="s">
        <v>17</v>
      </c>
      <c r="C16" s="39">
        <v>40</v>
      </c>
      <c r="D16" s="79">
        <v>0.4</v>
      </c>
      <c r="E16" s="26">
        <v>5</v>
      </c>
      <c r="F16" s="47">
        <v>1</v>
      </c>
      <c r="G16" s="41"/>
      <c r="H16" s="80">
        <f t="shared" si="1"/>
        <v>3.2</v>
      </c>
    </row>
    <row r="17" spans="2:11" ht="14.1" customHeight="1" x14ac:dyDescent="0.25">
      <c r="B17" s="6" t="s">
        <v>9</v>
      </c>
      <c r="C17" s="40">
        <v>1600</v>
      </c>
      <c r="D17" s="79">
        <v>0.18</v>
      </c>
      <c r="E17" s="26">
        <v>20</v>
      </c>
      <c r="F17" s="47">
        <v>7.2999999999999995E-2</v>
      </c>
      <c r="G17" s="41"/>
      <c r="H17" s="80">
        <f t="shared" si="1"/>
        <v>14.399999999999999</v>
      </c>
    </row>
    <row r="18" spans="2:11" ht="14.1" customHeight="1" x14ac:dyDescent="0.25">
      <c r="B18" s="6" t="s">
        <v>10</v>
      </c>
      <c r="C18" s="40">
        <v>200</v>
      </c>
      <c r="D18" s="79">
        <f>F18/F17*D17+0.002</f>
        <v>0.14501369863013699</v>
      </c>
      <c r="E18" s="26">
        <v>20</v>
      </c>
      <c r="F18" s="47">
        <v>5.8000000000000003E-2</v>
      </c>
      <c r="G18" s="41"/>
      <c r="H18" s="80">
        <f t="shared" si="1"/>
        <v>1.45013698630137</v>
      </c>
    </row>
    <row r="19" spans="2:11" ht="14.1" customHeight="1" x14ac:dyDescent="0.25">
      <c r="B19" s="6" t="s">
        <v>11</v>
      </c>
      <c r="C19" s="40">
        <v>800</v>
      </c>
      <c r="D19" s="79">
        <v>0.1</v>
      </c>
      <c r="E19" s="26">
        <v>20</v>
      </c>
      <c r="F19" s="47">
        <v>5.2999999999999999E-2</v>
      </c>
      <c r="G19" s="41"/>
      <c r="H19" s="80">
        <f t="shared" si="1"/>
        <v>4</v>
      </c>
    </row>
    <row r="20" spans="2:11" ht="14.1" customHeight="1" x14ac:dyDescent="0.25">
      <c r="B20" s="6" t="s">
        <v>12</v>
      </c>
      <c r="C20" s="40">
        <v>80</v>
      </c>
      <c r="D20" s="79">
        <f>F20/F19*D19+0.001</f>
        <v>6.5150943396226429E-2</v>
      </c>
      <c r="E20" s="26">
        <v>20</v>
      </c>
      <c r="F20" s="47">
        <v>3.4000000000000002E-2</v>
      </c>
      <c r="G20" s="41"/>
      <c r="H20" s="80">
        <f t="shared" si="1"/>
        <v>0.26060377358490572</v>
      </c>
    </row>
    <row r="21" spans="2:11" ht="14.1" customHeight="1" x14ac:dyDescent="0.25">
      <c r="B21" s="6" t="s">
        <v>13</v>
      </c>
      <c r="C21" s="39">
        <v>7000</v>
      </c>
      <c r="D21" s="79">
        <v>0.15</v>
      </c>
      <c r="E21" s="26">
        <v>20</v>
      </c>
      <c r="F21" s="47">
        <v>6.5000000000000002E-2</v>
      </c>
      <c r="G21" s="41"/>
      <c r="H21" s="80">
        <f t="shared" si="1"/>
        <v>52.5</v>
      </c>
      <c r="K21" s="46"/>
    </row>
    <row r="22" spans="2:11" ht="14.1" customHeight="1" x14ac:dyDescent="0.25">
      <c r="B22" s="6" t="s">
        <v>14</v>
      </c>
      <c r="C22" s="39">
        <v>540</v>
      </c>
      <c r="D22" s="79">
        <f>F22/F21*D21</f>
        <v>9.9230769230769206E-2</v>
      </c>
      <c r="E22" s="26">
        <v>20</v>
      </c>
      <c r="F22" s="47">
        <v>4.2999999999999997E-2</v>
      </c>
      <c r="G22" s="41"/>
      <c r="H22" s="80">
        <f t="shared" si="1"/>
        <v>2.6792307692307684</v>
      </c>
    </row>
    <row r="23" spans="2:11" ht="14.1" customHeight="1" x14ac:dyDescent="0.25">
      <c r="B23" s="6" t="s">
        <v>15</v>
      </c>
      <c r="C23" s="39">
        <v>10</v>
      </c>
      <c r="D23" s="79">
        <v>0.15</v>
      </c>
      <c r="E23" s="26">
        <v>5</v>
      </c>
      <c r="F23" s="47">
        <v>0.3</v>
      </c>
      <c r="G23" s="41"/>
      <c r="H23" s="80">
        <f t="shared" si="1"/>
        <v>0.3</v>
      </c>
      <c r="K23" s="46"/>
    </row>
    <row r="24" spans="2:11" ht="14.1" customHeight="1" x14ac:dyDescent="0.25">
      <c r="B24" s="6" t="s">
        <v>16</v>
      </c>
      <c r="C24" s="39">
        <v>5</v>
      </c>
      <c r="D24" s="79">
        <v>0.1</v>
      </c>
      <c r="E24" s="26">
        <v>20</v>
      </c>
      <c r="F24" s="47">
        <v>0.05</v>
      </c>
      <c r="G24" s="41"/>
      <c r="H24" s="80">
        <f t="shared" si="1"/>
        <v>2.5000000000000001E-2</v>
      </c>
    </row>
    <row r="25" spans="2:11" ht="14.1" customHeight="1" x14ac:dyDescent="0.25">
      <c r="B25" s="6" t="s">
        <v>6</v>
      </c>
      <c r="C25" s="39">
        <v>50</v>
      </c>
      <c r="D25" s="79">
        <v>0.3</v>
      </c>
      <c r="E25" s="26">
        <v>5</v>
      </c>
      <c r="F25" s="47">
        <v>0.73</v>
      </c>
      <c r="G25" s="41"/>
      <c r="H25" s="80">
        <f t="shared" si="1"/>
        <v>3</v>
      </c>
      <c r="K25" s="46"/>
    </row>
    <row r="26" spans="2:11" ht="14.1" customHeight="1" x14ac:dyDescent="0.25">
      <c r="B26" s="6" t="s">
        <v>7</v>
      </c>
      <c r="C26" s="39">
        <v>200</v>
      </c>
      <c r="D26" s="79">
        <v>0.17</v>
      </c>
      <c r="E26" s="26">
        <v>5.2941176470588234</v>
      </c>
      <c r="F26" s="47">
        <v>0.42</v>
      </c>
      <c r="G26" s="41"/>
      <c r="H26" s="80">
        <f t="shared" si="1"/>
        <v>6.4222222222222225</v>
      </c>
    </row>
    <row r="27" spans="2:11" ht="14.1" customHeight="1" x14ac:dyDescent="0.25">
      <c r="B27" s="6" t="s">
        <v>8</v>
      </c>
      <c r="C27" s="39">
        <v>20</v>
      </c>
      <c r="D27" s="79">
        <v>0.13</v>
      </c>
      <c r="E27" s="26">
        <v>5.2941176470588234</v>
      </c>
      <c r="F27" s="47">
        <v>0.32</v>
      </c>
      <c r="G27" s="41"/>
      <c r="H27" s="80">
        <f t="shared" si="1"/>
        <v>0.49111111111111111</v>
      </c>
      <c r="K27" s="46"/>
    </row>
    <row r="28" spans="2:11" ht="14.1" customHeight="1" x14ac:dyDescent="0.25">
      <c r="B28" s="9" t="s">
        <v>22</v>
      </c>
      <c r="C28" s="33">
        <f>SUM(C14:C27)</f>
        <v>20145</v>
      </c>
      <c r="D28" s="8"/>
      <c r="E28" s="12"/>
      <c r="F28" s="7"/>
      <c r="G28" s="7"/>
      <c r="H28" s="81">
        <f>SUM(H14:H27)</f>
        <v>417.39497152911702</v>
      </c>
    </row>
    <row r="29" spans="2:11" ht="3" customHeight="1" x14ac:dyDescent="0.25">
      <c r="B29" s="13"/>
      <c r="C29" s="14"/>
      <c r="D29" s="15"/>
      <c r="E29" s="16"/>
      <c r="F29" s="17"/>
      <c r="G29" s="18"/>
      <c r="H29" s="28"/>
    </row>
    <row r="30" spans="2:11" ht="33.75" customHeight="1" x14ac:dyDescent="0.25">
      <c r="B30" s="70" t="s">
        <v>44</v>
      </c>
      <c r="C30" s="71" t="s">
        <v>74</v>
      </c>
      <c r="D30" s="69" t="s">
        <v>23</v>
      </c>
      <c r="E30" s="71" t="s">
        <v>35</v>
      </c>
      <c r="F30" s="72" t="s">
        <v>36</v>
      </c>
      <c r="G30" s="71" t="s">
        <v>75</v>
      </c>
      <c r="H30" s="91" t="s">
        <v>24</v>
      </c>
    </row>
    <row r="31" spans="2:11" ht="14.1" customHeight="1" x14ac:dyDescent="0.25">
      <c r="B31" s="6" t="s">
        <v>28</v>
      </c>
      <c r="C31" s="39">
        <v>1100</v>
      </c>
      <c r="D31" s="79">
        <v>0.5</v>
      </c>
      <c r="E31" s="27">
        <v>5</v>
      </c>
      <c r="F31" s="48">
        <f>E31*0.9</f>
        <v>4.5</v>
      </c>
      <c r="G31" s="42"/>
      <c r="H31" s="80">
        <f>IF(G31=0,C31*D31,(C31*D31)*(G31/E31))</f>
        <v>550</v>
      </c>
    </row>
    <row r="32" spans="2:11" ht="14.1" customHeight="1" x14ac:dyDescent="0.25">
      <c r="B32" s="6" t="s">
        <v>37</v>
      </c>
      <c r="C32" s="39">
        <v>100</v>
      </c>
      <c r="D32" s="79">
        <v>0.1</v>
      </c>
      <c r="E32" s="27"/>
      <c r="F32" s="48"/>
      <c r="G32" s="31"/>
      <c r="H32" s="80">
        <f>IF(G32=0,C32*D32,(C32*D32)*(G32/E32))</f>
        <v>10</v>
      </c>
    </row>
    <row r="33" spans="2:8" ht="14.1" customHeight="1" x14ac:dyDescent="0.25">
      <c r="B33" s="6" t="s">
        <v>25</v>
      </c>
      <c r="C33" s="40">
        <f>59683.58/1000</f>
        <v>59.683579999999999</v>
      </c>
      <c r="D33" s="79">
        <v>0.25</v>
      </c>
      <c r="E33" s="27">
        <v>25</v>
      </c>
      <c r="F33" s="49">
        <f>E33*0.15</f>
        <v>3.75</v>
      </c>
      <c r="G33" s="42"/>
      <c r="H33" s="80">
        <f>IF(G33=0,C33*D33,(C33*D33)*(G33/E33))</f>
        <v>14.920895</v>
      </c>
    </row>
    <row r="34" spans="2:8" ht="14.1" customHeight="1" x14ac:dyDescent="0.25">
      <c r="B34" s="6" t="s">
        <v>48</v>
      </c>
      <c r="C34" s="39">
        <f>33</f>
        <v>33</v>
      </c>
      <c r="D34" s="79">
        <v>0.2</v>
      </c>
      <c r="E34" s="27">
        <v>10</v>
      </c>
      <c r="F34" s="49">
        <f t="shared" ref="F34:F39" si="2">E34*0.15</f>
        <v>1.5</v>
      </c>
      <c r="G34" s="42"/>
      <c r="H34" s="80">
        <f>IF(G34=0,C34*D34,(C34*(D34-0.1))+(C34*0.1*(G34/E34)))</f>
        <v>6.6000000000000005</v>
      </c>
    </row>
    <row r="35" spans="2:8" ht="14.1" customHeight="1" x14ac:dyDescent="0.25">
      <c r="B35" s="6" t="s">
        <v>59</v>
      </c>
      <c r="C35" s="39">
        <f>102.4+20</f>
        <v>122.4</v>
      </c>
      <c r="D35" s="79">
        <v>0.35</v>
      </c>
      <c r="E35" s="27">
        <v>25</v>
      </c>
      <c r="F35" s="49">
        <f t="shared" si="2"/>
        <v>3.75</v>
      </c>
      <c r="G35" s="42"/>
      <c r="H35" s="80">
        <f>IF(G35=0,C35*D35,(C35*(D35-0.25))+(C35*0.25*(G35/E35)))</f>
        <v>42.839999999999996</v>
      </c>
    </row>
    <row r="36" spans="2:8" ht="14.1" customHeight="1" x14ac:dyDescent="0.25">
      <c r="B36" s="6" t="s">
        <v>49</v>
      </c>
      <c r="C36" s="39">
        <v>10</v>
      </c>
      <c r="D36" s="79">
        <v>0.45</v>
      </c>
      <c r="E36" s="27">
        <v>30</v>
      </c>
      <c r="F36" s="49">
        <f t="shared" si="2"/>
        <v>4.5</v>
      </c>
      <c r="G36" s="42"/>
      <c r="H36" s="80">
        <f>IF(G36=0,C36*D36,(C36*(D36-0.3))+(C36*0.3*(G36/E36)))</f>
        <v>4.5</v>
      </c>
    </row>
    <row r="37" spans="2:8" ht="14.1" customHeight="1" x14ac:dyDescent="0.25">
      <c r="B37" s="6" t="s">
        <v>50</v>
      </c>
      <c r="C37" s="39">
        <v>10</v>
      </c>
      <c r="D37" s="79">
        <v>0.1</v>
      </c>
      <c r="E37" s="27"/>
      <c r="F37" s="49"/>
      <c r="G37" s="31"/>
      <c r="H37" s="80">
        <f>IF(G37=0,C37*D37,(C37*D37)*(G37/E37))</f>
        <v>1</v>
      </c>
    </row>
    <row r="38" spans="2:8" ht="14.1" customHeight="1" x14ac:dyDescent="0.25">
      <c r="B38" s="6" t="s">
        <v>26</v>
      </c>
      <c r="C38" s="39">
        <v>5</v>
      </c>
      <c r="D38" s="79">
        <v>0.2</v>
      </c>
      <c r="E38" s="27">
        <v>10</v>
      </c>
      <c r="F38" s="49">
        <f t="shared" si="2"/>
        <v>1.5</v>
      </c>
      <c r="G38" s="42"/>
      <c r="H38" s="80">
        <f>IF(G38=0,C38*D38,(C38*(D38-0.1))+(C38*0.1*(G38/E38)))</f>
        <v>1</v>
      </c>
    </row>
    <row r="39" spans="2:8" ht="14.1" customHeight="1" x14ac:dyDescent="0.25">
      <c r="B39" s="6" t="s">
        <v>21</v>
      </c>
      <c r="C39" s="39">
        <v>10</v>
      </c>
      <c r="D39" s="79">
        <v>0.2</v>
      </c>
      <c r="E39" s="27">
        <v>10</v>
      </c>
      <c r="F39" s="49">
        <f t="shared" si="2"/>
        <v>1.5</v>
      </c>
      <c r="G39" s="42"/>
      <c r="H39" s="80">
        <f>IF(G39=0,C39*D39,(C39*D39)*(G39/E39))</f>
        <v>2</v>
      </c>
    </row>
    <row r="40" spans="2:8" ht="14.1" customHeight="1" x14ac:dyDescent="0.25">
      <c r="B40" s="6" t="s">
        <v>18</v>
      </c>
      <c r="C40" s="39">
        <v>50</v>
      </c>
      <c r="D40" s="79">
        <v>0.2</v>
      </c>
      <c r="E40" s="27"/>
      <c r="F40" s="48"/>
      <c r="G40" s="31"/>
      <c r="H40" s="80">
        <f>IF(G40=0,C40*D40,(C40*D40)*(G40/E40))</f>
        <v>10</v>
      </c>
    </row>
    <row r="41" spans="2:8" ht="14.1" customHeight="1" x14ac:dyDescent="0.25">
      <c r="B41" s="6" t="s">
        <v>19</v>
      </c>
      <c r="C41" s="39">
        <f>42.8+11.2</f>
        <v>54</v>
      </c>
      <c r="D41" s="79">
        <v>0.2</v>
      </c>
      <c r="E41" s="27"/>
      <c r="F41" s="48"/>
      <c r="G41" s="31"/>
      <c r="H41" s="80">
        <f>IF(G41=0,C41*D41,(C41*D41)*(G41/E41))</f>
        <v>10.8</v>
      </c>
    </row>
    <row r="42" spans="2:8" ht="14.1" customHeight="1" x14ac:dyDescent="0.25">
      <c r="B42" s="6" t="s">
        <v>27</v>
      </c>
      <c r="C42" s="39">
        <f>228.9-C41</f>
        <v>174.9</v>
      </c>
      <c r="D42" s="79">
        <v>0.2</v>
      </c>
      <c r="E42" s="27"/>
      <c r="F42" s="48"/>
      <c r="G42" s="31"/>
      <c r="H42" s="80">
        <f>IF(G42=0,C42*D42,(C42*D42)*(G42/E42))</f>
        <v>34.980000000000004</v>
      </c>
    </row>
    <row r="43" spans="2:8" ht="14.1" customHeight="1" x14ac:dyDescent="0.25">
      <c r="B43" s="6" t="s">
        <v>60</v>
      </c>
      <c r="C43" s="39">
        <v>10</v>
      </c>
      <c r="D43" s="79">
        <v>0.45</v>
      </c>
      <c r="E43" s="27">
        <v>20</v>
      </c>
      <c r="F43" s="49">
        <f t="shared" ref="F43" si="3">E43*0.15</f>
        <v>3</v>
      </c>
      <c r="G43" s="42"/>
      <c r="H43" s="80">
        <f>IF(G43=0,C43*D43,(C43*(D43-0.2))+(C43*0.2*(G43/E43)))</f>
        <v>4.5</v>
      </c>
    </row>
    <row r="44" spans="2:8" ht="14.1" customHeight="1" x14ac:dyDescent="0.25">
      <c r="B44" s="9" t="s">
        <v>22</v>
      </c>
      <c r="C44" s="33">
        <f>SUM(C31:C43)</f>
        <v>1738.9835800000001</v>
      </c>
      <c r="D44" s="19"/>
      <c r="E44" s="6"/>
      <c r="F44" s="6"/>
      <c r="G44" s="20"/>
      <c r="H44" s="81">
        <f>SUM(H31:H43)</f>
        <v>693.140895</v>
      </c>
    </row>
    <row r="45" spans="2:8" ht="3" customHeight="1" x14ac:dyDescent="0.25">
      <c r="B45" s="21"/>
      <c r="C45" s="22"/>
      <c r="D45" s="23"/>
      <c r="E45" s="13"/>
      <c r="F45" s="13"/>
      <c r="G45" s="23"/>
      <c r="H45" s="82"/>
    </row>
    <row r="46" spans="2:8" ht="14.1" customHeight="1" x14ac:dyDescent="0.25">
      <c r="B46" s="9" t="s">
        <v>30</v>
      </c>
      <c r="C46" s="24"/>
      <c r="D46" s="19"/>
      <c r="E46" s="6"/>
      <c r="F46" s="6"/>
      <c r="G46" s="19"/>
      <c r="H46" s="81">
        <f>H28+H44</f>
        <v>1110.5358665291169</v>
      </c>
    </row>
    <row r="47" spans="2:8" ht="14.1" customHeight="1" x14ac:dyDescent="0.25">
      <c r="B47" s="54" t="s">
        <v>56</v>
      </c>
      <c r="C47" s="6"/>
      <c r="D47" s="6"/>
      <c r="E47" s="6"/>
      <c r="F47" s="6"/>
      <c r="G47" s="6"/>
      <c r="H47" s="83">
        <f>H46-H11</f>
        <v>337.75358152911701</v>
      </c>
    </row>
    <row r="48" spans="2:8" ht="15.95" customHeight="1" x14ac:dyDescent="0.25">
      <c r="B48" s="99" t="s">
        <v>73</v>
      </c>
      <c r="C48" s="99"/>
      <c r="D48" s="99"/>
      <c r="E48" s="99"/>
      <c r="F48" s="99"/>
      <c r="G48" s="99"/>
      <c r="H48" s="53">
        <f>IF(H11=0,"",H47/H11)</f>
        <v>0.43706175475944958</v>
      </c>
    </row>
    <row r="49" spans="2:8" ht="15.95" customHeight="1" x14ac:dyDescent="0.25">
      <c r="B49" s="97" t="s">
        <v>78</v>
      </c>
      <c r="C49" s="97"/>
      <c r="D49" s="97"/>
      <c r="E49" s="97"/>
      <c r="F49" s="97"/>
      <c r="G49" s="97"/>
      <c r="H49" s="3"/>
    </row>
    <row r="50" spans="2:8" ht="15.95" customHeight="1" x14ac:dyDescent="0.25">
      <c r="B50" s="97" t="s">
        <v>77</v>
      </c>
      <c r="C50" s="97"/>
      <c r="D50" s="97"/>
      <c r="E50" s="97"/>
      <c r="F50" s="97"/>
      <c r="G50" s="97"/>
      <c r="H50" s="3"/>
    </row>
    <row r="51" spans="2:8" ht="14.1" customHeight="1" x14ac:dyDescent="0.25">
      <c r="B51" s="98" t="s">
        <v>61</v>
      </c>
      <c r="C51" s="98"/>
      <c r="D51" s="98"/>
      <c r="E51" s="98"/>
      <c r="F51" s="98"/>
      <c r="G51" s="98"/>
    </row>
    <row r="52" spans="2:8" ht="14.1" customHeight="1" x14ac:dyDescent="0.25">
      <c r="B52" s="3"/>
      <c r="C52" s="3"/>
      <c r="D52" s="3"/>
      <c r="E52" s="3"/>
      <c r="F52" s="3"/>
      <c r="G52" s="3"/>
    </row>
  </sheetData>
  <sheetProtection password="DEBF" sheet="1" objects="1" scenarios="1" formatColumns="0" formatRows="0" selectLockedCells="1"/>
  <mergeCells count="12">
    <mergeCell ref="F4:G4"/>
    <mergeCell ref="B51:G51"/>
    <mergeCell ref="B48:G48"/>
    <mergeCell ref="B49:G49"/>
    <mergeCell ref="B50:G50"/>
    <mergeCell ref="F5:G5"/>
    <mergeCell ref="F6:G6"/>
    <mergeCell ref="F7:G7"/>
    <mergeCell ref="F8:G8"/>
    <mergeCell ref="F9:G9"/>
    <mergeCell ref="F10:G10"/>
    <mergeCell ref="F11:G11"/>
  </mergeCells>
  <pageMargins left="0.7" right="0.7" top="0.78740157499999996" bottom="0.78740157499999996" header="0.3" footer="0.3"/>
  <pageSetup paperSize="9" orientation="portrait" verticalDpi="0" r:id="rId1"/>
  <ignoredErrors>
    <ignoredError sqref="H38" formula="1"/>
    <ignoredError sqref="C5 C7:C8 C14 C33:C35 C41:C42 C9:C10 J5 J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zkušební výpočet</vt:lpstr>
      <vt:lpstr>analýza za ČR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2021-02-01T08:42:03Z</dcterms:created>
  <dcterms:modified xsi:type="dcterms:W3CDTF">2021-06-02T06:09:01Z</dcterms:modified>
</cp:coreProperties>
</file>